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Users\tarasenko\Desktop\123\Онлайн калькулятор\"/>
    </mc:Choice>
  </mc:AlternateContent>
  <bookViews>
    <workbookView xWindow="0" yWindow="0" windowWidth="12300" windowHeight="768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28" i="1"/>
  <c r="D5" i="1"/>
  <c r="D30" i="1"/>
  <c r="D4" i="1" l="1"/>
  <c r="C8" i="1"/>
  <c r="D8" i="1" s="1"/>
  <c r="D29" i="1"/>
  <c r="N31" i="1"/>
  <c r="C34" i="1" s="1"/>
  <c r="P46" i="1" s="1" a="1"/>
  <c r="P46" i="1" s="1"/>
  <c r="C44" i="1" s="1"/>
  <c r="C46" i="1" s="1"/>
  <c r="D32" i="1"/>
  <c r="D31" i="1"/>
  <c r="C37" i="1" s="1"/>
  <c r="D38" i="1"/>
  <c r="D37" i="1" l="1"/>
  <c r="C38" i="1"/>
  <c r="C39" i="1" s="1"/>
  <c r="D34" i="1"/>
  <c r="C40" i="1" s="1"/>
  <c r="C45" i="1"/>
  <c r="C43" i="1"/>
  <c r="C47" i="1"/>
  <c r="R46" i="1" a="1"/>
  <c r="R46" i="1" s="1"/>
  <c r="D44" i="1" s="1"/>
  <c r="D39" i="1"/>
  <c r="D40" i="1"/>
  <c r="C11" i="1"/>
  <c r="D6" i="1"/>
  <c r="D12" i="1"/>
  <c r="P42" i="1" l="1" a="1"/>
  <c r="P42" i="1" s="1"/>
  <c r="C18" i="1" s="1"/>
  <c r="D43" i="1"/>
  <c r="D46" i="1"/>
  <c r="D45" i="1"/>
  <c r="D47" i="1"/>
  <c r="B42" i="1"/>
  <c r="R42" i="1" a="1"/>
  <c r="R42" i="1" s="1"/>
  <c r="D18" i="1" s="1"/>
  <c r="D20" i="1" s="1"/>
  <c r="D11" i="1"/>
  <c r="B16" i="1" l="1"/>
  <c r="C21" i="1"/>
  <c r="D19" i="1"/>
  <c r="D17" i="1"/>
  <c r="D21" i="1"/>
  <c r="C17" i="1"/>
  <c r="C20" i="1"/>
  <c r="C19" i="1"/>
  <c r="C14" i="1"/>
  <c r="D14" i="1"/>
  <c r="D13" i="1" l="1"/>
  <c r="C12" i="1" l="1"/>
  <c r="C13" i="1" s="1"/>
</calcChain>
</file>

<file path=xl/sharedStrings.xml><?xml version="1.0" encoding="utf-8"?>
<sst xmlns="http://schemas.openxmlformats.org/spreadsheetml/2006/main" count="106" uniqueCount="33">
  <si>
    <t>длина, мм</t>
  </si>
  <si>
    <t>ширина, мм</t>
  </si>
  <si>
    <t>артикул</t>
  </si>
  <si>
    <t>примечание</t>
  </si>
  <si>
    <t>длина,мм</t>
  </si>
  <si>
    <t>количество, шт</t>
  </si>
  <si>
    <t>размер готовой детали  днища ящика</t>
  </si>
  <si>
    <t xml:space="preserve">размер готовой детали задней панели ящика </t>
  </si>
  <si>
    <t>размер готовых деталей боковин ящика</t>
  </si>
  <si>
    <t>деталировка ящика с Наружным фасадом:</t>
  </si>
  <si>
    <t>для ДСП</t>
  </si>
  <si>
    <t>clip</t>
  </si>
  <si>
    <t>Clip 3D</t>
  </si>
  <si>
    <t>с доводчиком</t>
  </si>
  <si>
    <t>с отталкивателем</t>
  </si>
  <si>
    <t>фиксатор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</si>
  <si>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>для ящика из ДСП, мм</t>
    </r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</si>
  <si>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длина направляющих ящика </t>
    </r>
  </si>
  <si>
    <t>*эта деталь в некоторых конструктивах ящиков может отсутствовать</t>
  </si>
  <si>
    <t xml:space="preserve">размер готовой детали  фасадной фальшпанели* ящика </t>
  </si>
  <si>
    <t>Вводные данные для ящика с НАРУЖНЫМ фасадом c направляющими скрытого монтажа с Clip 3D:</t>
  </si>
  <si>
    <t>ширина внутреннего проема корпуса , LW мм</t>
  </si>
  <si>
    <t>глубина внутреннего  проема корпуса , LT мм</t>
  </si>
  <si>
    <t xml:space="preserve">артикул выбранного комплекта 
направляющих скрытого монтажа с Clip 3D </t>
  </si>
  <si>
    <t xml:space="preserve">  высота Фасада  ящика, мм</t>
  </si>
  <si>
    <t>толщина материала ящика ДСП/МДФ , мм</t>
  </si>
  <si>
    <t xml:space="preserve"> </t>
  </si>
  <si>
    <t>рекомендуемая  длина направляющих , NL мм</t>
  </si>
  <si>
    <t>* направляющие для материала ящика толщиной 18 и 19мм имеют одинаковый артикул</t>
  </si>
  <si>
    <t>Вводные данные для ящика с ВНУТРЕННИМ фасадом c направляющими скрытого монтажа с Clip 3D:</t>
  </si>
  <si>
    <t>толщина материала фасада ДСП/МДФ , мм</t>
  </si>
  <si>
    <t>kronas.com.ua</t>
  </si>
  <si>
    <t>деталировка ящика с Внутренним фасадом: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</si>
</sst>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u/>
      <sz val="11"/>
      <color rgb="FFFF0000"/>
      <name val="Calibri"/>
      <family val="2"/>
      <charset val="204"/>
      <scheme val="minor"/>
    </font>
    <font>
      <b/>
      <u/>
      <sz val="11"/>
      <color rgb="FFC00000"/>
      <name val="Calibri"/>
      <family val="2"/>
      <charset val="204"/>
      <scheme val="minor"/>
    </font>
    <font>
      <b/>
      <sz val="11"/>
      <color rgb="FFC0000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0"/>
      <color theme="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C949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AF7FA"/>
        <bgColor indexed="64"/>
      </patternFill>
    </fill>
    <fill>
      <patternFill patternType="solid">
        <fgColor rgb="FFFFC0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3" xfId="0" applyBorder="1" applyAlignment="1" applyProtection="1">
      <alignment horizontal="center"/>
      <protection hidden="1"/>
    </xf>
    <xf numFmtId="0" fontId="0" fillId="0" borderId="4" xfId="0" applyBorder="1" applyProtection="1">
      <protection hidden="1"/>
    </xf>
    <xf numFmtId="0" fontId="0" fillId="0" borderId="0" xfId="0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6" xfId="0" applyBorder="1" applyProtection="1">
      <protection hidden="1"/>
    </xf>
    <xf numFmtId="0" fontId="0" fillId="2" borderId="1" xfId="0" applyFill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horizontal="right"/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right" wrapText="1"/>
      <protection hidden="1"/>
    </xf>
    <xf numFmtId="0" fontId="0" fillId="0" borderId="0" xfId="0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0" fontId="0" fillId="0" borderId="5" xfId="0" applyFill="1" applyBorder="1" applyProtection="1">
      <protection hidden="1"/>
    </xf>
    <xf numFmtId="0" fontId="3" fillId="0" borderId="0" xfId="0" applyFont="1" applyFill="1" applyBorder="1" applyAlignment="1" applyProtection="1">
      <protection hidden="1"/>
    </xf>
    <xf numFmtId="0" fontId="0" fillId="0" borderId="0" xfId="0" applyFill="1" applyBorder="1" applyProtection="1">
      <protection hidden="1"/>
    </xf>
    <xf numFmtId="0" fontId="0" fillId="0" borderId="6" xfId="0" applyFill="1" applyBorder="1" applyProtection="1">
      <protection hidden="1"/>
    </xf>
    <xf numFmtId="0" fontId="1" fillId="0" borderId="0" xfId="0" applyFont="1" applyBorder="1" applyAlignment="1" applyProtection="1">
      <alignment horizontal="right" wrapText="1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7" xfId="0" applyFill="1" applyBorder="1" applyProtection="1">
      <protection hidden="1"/>
    </xf>
    <xf numFmtId="0" fontId="0" fillId="0" borderId="8" xfId="0" applyFill="1" applyBorder="1" applyProtection="1">
      <protection hidden="1"/>
    </xf>
    <xf numFmtId="0" fontId="0" fillId="0" borderId="8" xfId="0" applyFill="1" applyBorder="1" applyAlignment="1" applyProtection="1">
      <alignment horizontal="center"/>
      <protection hidden="1"/>
    </xf>
    <xf numFmtId="0" fontId="0" fillId="0" borderId="9" xfId="0" applyFill="1" applyBorder="1" applyProtection="1">
      <protection hidden="1"/>
    </xf>
    <xf numFmtId="0" fontId="0" fillId="3" borderId="0" xfId="0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0" xfId="0" applyFill="1" applyBorder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9" fillId="4" borderId="11" xfId="0" applyFont="1" applyFill="1" applyBorder="1" applyAlignment="1" applyProtection="1">
      <alignment horizontal="center" vertical="center" wrapText="1"/>
      <protection hidden="1"/>
    </xf>
    <xf numFmtId="0" fontId="6" fillId="4" borderId="12" xfId="0" applyFont="1" applyFill="1" applyBorder="1" applyAlignment="1" applyProtection="1">
      <alignment horizontal="center" vertical="center"/>
      <protection hidden="1"/>
    </xf>
    <xf numFmtId="0" fontId="6" fillId="4" borderId="13" xfId="0" applyFont="1" applyFill="1" applyBorder="1" applyAlignment="1" applyProtection="1">
      <alignment horizontal="center" vertical="center"/>
      <protection hidden="1"/>
    </xf>
    <xf numFmtId="0" fontId="7" fillId="5" borderId="14" xfId="0" applyFont="1" applyFill="1" applyBorder="1" applyAlignment="1" applyProtection="1">
      <alignment horizontal="right"/>
      <protection hidden="1"/>
    </xf>
    <xf numFmtId="0" fontId="0" fillId="6" borderId="1" xfId="0" applyFill="1" applyBorder="1" applyAlignment="1" applyProtection="1">
      <alignment horizontal="center"/>
      <protection hidden="1"/>
    </xf>
    <xf numFmtId="0" fontId="0" fillId="5" borderId="1" xfId="0" applyFill="1" applyBorder="1" applyAlignment="1" applyProtection="1">
      <alignment horizontal="center"/>
      <protection hidden="1"/>
    </xf>
    <xf numFmtId="0" fontId="0" fillId="6" borderId="15" xfId="0" applyFill="1" applyBorder="1" applyAlignment="1" applyProtection="1">
      <alignment horizontal="center"/>
      <protection hidden="1"/>
    </xf>
    <xf numFmtId="0" fontId="7" fillId="5" borderId="16" xfId="0" applyFont="1" applyFill="1" applyBorder="1" applyAlignment="1" applyProtection="1">
      <alignment horizontal="right"/>
      <protection hidden="1"/>
    </xf>
    <xf numFmtId="0" fontId="0" fillId="6" borderId="17" xfId="0" applyFill="1" applyBorder="1" applyAlignment="1" applyProtection="1">
      <alignment horizontal="center"/>
      <protection hidden="1"/>
    </xf>
    <xf numFmtId="0" fontId="0" fillId="5" borderId="17" xfId="0" applyFill="1" applyBorder="1" applyAlignment="1" applyProtection="1">
      <alignment horizontal="center"/>
      <protection hidden="1"/>
    </xf>
    <xf numFmtId="0" fontId="0" fillId="6" borderId="18" xfId="0" applyFill="1" applyBorder="1" applyAlignment="1" applyProtection="1">
      <alignment horizontal="center"/>
      <protection hidden="1"/>
    </xf>
    <xf numFmtId="0" fontId="1" fillId="0" borderId="0" xfId="0" applyFont="1" applyBorder="1" applyAlignment="1">
      <alignment horizontal="right"/>
    </xf>
    <xf numFmtId="0" fontId="0" fillId="7" borderId="20" xfId="0" applyFill="1" applyBorder="1" applyAlignment="1" applyProtection="1">
      <alignment horizontal="center"/>
      <protection locked="0" hidden="1"/>
    </xf>
    <xf numFmtId="0" fontId="0" fillId="7" borderId="21" xfId="0" applyFill="1" applyBorder="1" applyAlignment="1" applyProtection="1">
      <alignment horizontal="center"/>
      <protection locked="0" hidden="1"/>
    </xf>
    <xf numFmtId="0" fontId="0" fillId="7" borderId="22" xfId="0" applyFill="1" applyBorder="1" applyAlignment="1" applyProtection="1">
      <alignment horizontal="center"/>
      <protection locked="0" hidden="1"/>
    </xf>
    <xf numFmtId="0" fontId="6" fillId="4" borderId="19" xfId="0" applyFont="1" applyFill="1" applyBorder="1" applyAlignment="1" applyProtection="1">
      <alignment horizontal="center" vertical="center"/>
      <protection hidden="1"/>
    </xf>
    <xf numFmtId="0" fontId="0" fillId="6" borderId="14" xfId="0" applyFill="1" applyBorder="1" applyAlignment="1" applyProtection="1">
      <alignment horizontal="center"/>
      <protection hidden="1"/>
    </xf>
    <xf numFmtId="0" fontId="0" fillId="6" borderId="16" xfId="0" applyFill="1" applyBorder="1" applyAlignment="1" applyProtection="1">
      <alignment horizontal="center"/>
      <protection hidden="1"/>
    </xf>
    <xf numFmtId="0" fontId="0" fillId="6" borderId="23" xfId="0" applyFill="1" applyBorder="1" applyAlignment="1" applyProtection="1">
      <alignment horizontal="center"/>
      <protection hidden="1"/>
    </xf>
    <xf numFmtId="0" fontId="0" fillId="6" borderId="13" xfId="0" applyFill="1" applyBorder="1" applyAlignment="1" applyProtection="1">
      <alignment horizontal="center"/>
      <protection hidden="1"/>
    </xf>
    <xf numFmtId="0" fontId="6" fillId="4" borderId="14" xfId="0" applyFont="1" applyFill="1" applyBorder="1" applyAlignment="1" applyProtection="1">
      <alignment horizontal="center" vertical="center"/>
      <protection hidden="1"/>
    </xf>
    <xf numFmtId="0" fontId="6" fillId="4" borderId="15" xfId="0" applyFont="1" applyFill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right" vertical="center"/>
      <protection hidden="1"/>
    </xf>
    <xf numFmtId="0" fontId="2" fillId="0" borderId="0" xfId="0" applyFont="1" applyFill="1" applyBorder="1" applyAlignment="1" applyProtection="1">
      <alignment horizontal="center" wrapText="1"/>
      <protection hidden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85725</xdr:colOff>
      <xdr:row>14</xdr:row>
      <xdr:rowOff>47626</xdr:rowOff>
    </xdr:from>
    <xdr:to>
      <xdr:col>11</xdr:col>
      <xdr:colOff>114300</xdr:colOff>
      <xdr:row>24</xdr:row>
      <xdr:rowOff>16696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2867026"/>
          <a:ext cx="4010025" cy="2255070"/>
        </a:xfrm>
        <a:prstGeom prst="rect">
          <a:avLst/>
        </a:prstGeom>
      </xdr:spPr>
    </xdr:pic>
    <xdr:clientData/>
  </xdr:twoCellAnchor>
  <xdr:twoCellAnchor editAs="oneCell">
    <xdr:from>
      <xdr:col>5</xdr:col>
      <xdr:colOff>47625</xdr:colOff>
      <xdr:row>40</xdr:row>
      <xdr:rowOff>1</xdr:rowOff>
    </xdr:from>
    <xdr:to>
      <xdr:col>11</xdr:col>
      <xdr:colOff>96308</xdr:colOff>
      <xdr:row>49</xdr:row>
      <xdr:rowOff>47626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05675" y="8372476"/>
          <a:ext cx="4030133" cy="2133600"/>
        </a:xfrm>
        <a:prstGeom prst="rect">
          <a:avLst/>
        </a:prstGeom>
      </xdr:spPr>
    </xdr:pic>
    <xdr:clientData/>
  </xdr:twoCellAnchor>
  <xdr:twoCellAnchor editAs="oneCell">
    <xdr:from>
      <xdr:col>1</xdr:col>
      <xdr:colOff>28575</xdr:colOff>
      <xdr:row>0</xdr:row>
      <xdr:rowOff>47625</xdr:rowOff>
    </xdr:from>
    <xdr:to>
      <xdr:col>1</xdr:col>
      <xdr:colOff>2533650</xdr:colOff>
      <xdr:row>0</xdr:row>
      <xdr:rowOff>595782</xdr:rowOff>
    </xdr:to>
    <xdr:pic>
      <xdr:nvPicPr>
        <xdr:cNvPr id="5" name="Рисунок 4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47625"/>
          <a:ext cx="2505075" cy="548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114300</xdr:rowOff>
    </xdr:from>
    <xdr:to>
      <xdr:col>1</xdr:col>
      <xdr:colOff>2505075</xdr:colOff>
      <xdr:row>25</xdr:row>
      <xdr:rowOff>662457</xdr:rowOff>
    </xdr:to>
    <xdr:pic>
      <xdr:nvPicPr>
        <xdr:cNvPr id="6" name="Рисунок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5943600"/>
          <a:ext cx="2505075" cy="548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W50"/>
  <sheetViews>
    <sheetView showGridLines="0" tabSelected="1" zoomScaleNormal="100" workbookViewId="0">
      <selection activeCell="F8" sqref="F8"/>
    </sheetView>
  </sheetViews>
  <sheetFormatPr defaultRowHeight="15" x14ac:dyDescent="0.25"/>
  <cols>
    <col min="1" max="1" width="3" style="5" customWidth="1"/>
    <col min="2" max="2" width="54.85546875" style="5" bestFit="1" customWidth="1"/>
    <col min="3" max="3" width="18.5703125" style="36" customWidth="1"/>
    <col min="4" max="4" width="17.42578125" style="36" customWidth="1"/>
    <col min="5" max="5" width="15" style="5" bestFit="1" customWidth="1"/>
    <col min="6" max="6" width="9.140625" style="5"/>
    <col min="7" max="7" width="8.28515625" style="5" bestFit="1" customWidth="1"/>
    <col min="8" max="8" width="10" style="5" bestFit="1" customWidth="1"/>
    <col min="9" max="9" width="10" style="5" customWidth="1"/>
    <col min="10" max="10" width="11.140625" style="5" bestFit="1" customWidth="1"/>
    <col min="11" max="11" width="11.140625" style="5" customWidth="1"/>
    <col min="12" max="13" width="9.140625" style="5"/>
    <col min="14" max="14" width="24.5703125" style="5" hidden="1" customWidth="1"/>
    <col min="15" max="22" width="0" style="5" hidden="1" customWidth="1"/>
    <col min="23" max="23" width="22.28515625" style="5" hidden="1" customWidth="1"/>
    <col min="24" max="24" width="0" style="5" hidden="1" customWidth="1"/>
    <col min="25" max="16384" width="9.140625" style="5"/>
  </cols>
  <sheetData>
    <row r="1" spans="1:23" ht="52.5" customHeight="1" x14ac:dyDescent="0.3">
      <c r="A1" s="1"/>
      <c r="B1" s="2"/>
      <c r="C1" s="3"/>
      <c r="D1" s="3"/>
      <c r="E1" s="2"/>
      <c r="F1" s="2"/>
      <c r="G1" s="2"/>
      <c r="H1" s="2"/>
      <c r="I1" s="2"/>
      <c r="J1" s="2"/>
      <c r="K1" s="38" t="s">
        <v>31</v>
      </c>
      <c r="L1" s="4"/>
    </row>
    <row r="2" spans="1:23" ht="27" customHeight="1" thickBot="1" x14ac:dyDescent="0.3">
      <c r="A2" s="6"/>
      <c r="B2" s="61" t="s">
        <v>20</v>
      </c>
      <c r="C2" s="61"/>
      <c r="D2" s="61"/>
      <c r="E2" s="61"/>
      <c r="F2" s="7"/>
      <c r="G2" s="7"/>
      <c r="H2" s="7"/>
      <c r="I2" s="7"/>
      <c r="J2" s="7"/>
      <c r="K2" s="7"/>
      <c r="L2" s="8"/>
      <c r="P2" s="9" t="s">
        <v>2</v>
      </c>
      <c r="Q2" s="9" t="s">
        <v>4</v>
      </c>
      <c r="R2" s="9" t="s">
        <v>2</v>
      </c>
      <c r="S2" s="9" t="s">
        <v>10</v>
      </c>
      <c r="T2" s="9" t="s">
        <v>2</v>
      </c>
      <c r="U2" s="9" t="s">
        <v>11</v>
      </c>
      <c r="V2" s="9" t="s">
        <v>2</v>
      </c>
      <c r="W2" s="9" t="s">
        <v>3</v>
      </c>
    </row>
    <row r="3" spans="1:23" x14ac:dyDescent="0.25">
      <c r="A3" s="6"/>
      <c r="B3" s="50" t="s">
        <v>21</v>
      </c>
      <c r="C3" s="51">
        <v>564</v>
      </c>
      <c r="D3" s="11" t="str">
        <f>IF(C3&gt;800,"не корректно!!! Не рекомендуем применять  направляющие этой группы в ящиках для ширины  проема более 800мм",IF(C3&lt;200,"не корректно!! Необходимо увеличить размер корпуса по ширине","корректно"))</f>
        <v>корректно</v>
      </c>
      <c r="E3" s="7"/>
      <c r="F3" s="7"/>
      <c r="G3" s="7"/>
      <c r="H3" s="7"/>
      <c r="I3" s="7"/>
      <c r="J3" s="7"/>
      <c r="K3" s="7"/>
      <c r="L3" s="8"/>
      <c r="P3" s="12">
        <v>104563</v>
      </c>
      <c r="Q3" s="12">
        <v>450</v>
      </c>
      <c r="R3" s="12">
        <v>104563</v>
      </c>
      <c r="S3" s="12">
        <v>18</v>
      </c>
      <c r="T3" s="12">
        <v>104563</v>
      </c>
      <c r="U3" s="12" t="s">
        <v>12</v>
      </c>
      <c r="V3" s="12">
        <v>104563</v>
      </c>
      <c r="W3" s="12" t="s">
        <v>14</v>
      </c>
    </row>
    <row r="4" spans="1:23" x14ac:dyDescent="0.25">
      <c r="A4" s="6"/>
      <c r="B4" s="10" t="s">
        <v>22</v>
      </c>
      <c r="C4" s="52">
        <v>500</v>
      </c>
      <c r="D4" s="11" t="str">
        <f>IF(C4&gt;304, "корректно", "не корректно!! Минимальная  глубина корпуса  305мм")</f>
        <v>корректно</v>
      </c>
      <c r="E4" s="7"/>
      <c r="F4" s="7"/>
      <c r="G4" s="7"/>
      <c r="H4" s="7"/>
      <c r="I4" s="7"/>
      <c r="J4" s="7"/>
      <c r="K4" s="7"/>
      <c r="L4" s="8"/>
      <c r="P4" s="12">
        <v>104563</v>
      </c>
      <c r="Q4" s="12">
        <v>450</v>
      </c>
      <c r="R4" s="12">
        <v>104563</v>
      </c>
      <c r="S4" s="12">
        <v>19</v>
      </c>
      <c r="T4" s="12">
        <v>104563</v>
      </c>
      <c r="U4" s="12" t="s">
        <v>12</v>
      </c>
      <c r="V4" s="12">
        <v>104563</v>
      </c>
      <c r="W4" s="12" t="s">
        <v>14</v>
      </c>
    </row>
    <row r="5" spans="1:23" x14ac:dyDescent="0.25">
      <c r="A5" s="6"/>
      <c r="B5" s="10" t="s">
        <v>24</v>
      </c>
      <c r="C5" s="52">
        <v>200</v>
      </c>
      <c r="D5" s="11" t="str">
        <f>IF(C5&lt;109,"не корректно!! Очень узкая деталь для боковин ящика, необходимо увеличить  высоту Фасада",IF(C5&gt;800,"не корректно!!! Очень высокая боковина ящика, направляющие могут некорректно работать","корректно"))</f>
        <v>корректно</v>
      </c>
      <c r="E5" s="7"/>
      <c r="F5" s="7"/>
      <c r="G5" s="7"/>
      <c r="H5" s="7"/>
      <c r="I5" s="7"/>
      <c r="J5" s="7"/>
      <c r="K5" s="7"/>
      <c r="L5" s="8"/>
      <c r="P5" s="12">
        <v>104560</v>
      </c>
      <c r="Q5" s="12">
        <v>500</v>
      </c>
      <c r="R5" s="12">
        <v>104560</v>
      </c>
      <c r="S5" s="12">
        <v>16</v>
      </c>
      <c r="T5" s="12">
        <v>104560</v>
      </c>
      <c r="U5" s="12" t="s">
        <v>12</v>
      </c>
      <c r="V5" s="12">
        <v>104560</v>
      </c>
      <c r="W5" s="12" t="s">
        <v>14</v>
      </c>
    </row>
    <row r="6" spans="1:23" ht="15.75" thickBot="1" x14ac:dyDescent="0.3">
      <c r="A6" s="6"/>
      <c r="B6" s="13" t="s">
        <v>25</v>
      </c>
      <c r="C6" s="53">
        <v>18</v>
      </c>
      <c r="D6" s="14" t="str">
        <f>IF(C6=16,"корректно",IF(C6=18,"корректно",IF(C6=19,"корректно","некорректно!!! Введите правильно толщину материала, выбрать: или 16 или 18 или 19")))</f>
        <v>корректно</v>
      </c>
      <c r="E6" s="7"/>
      <c r="F6" s="7"/>
      <c r="G6" s="7"/>
      <c r="H6" s="7"/>
      <c r="I6" s="7"/>
      <c r="J6" s="7"/>
      <c r="K6" s="7"/>
      <c r="L6" s="8"/>
      <c r="P6" s="12">
        <v>104559</v>
      </c>
      <c r="Q6" s="12">
        <v>450</v>
      </c>
      <c r="R6" s="12">
        <v>104559</v>
      </c>
      <c r="S6" s="12">
        <v>16</v>
      </c>
      <c r="T6" s="12">
        <v>104559</v>
      </c>
      <c r="U6" s="12" t="s">
        <v>12</v>
      </c>
      <c r="V6" s="12">
        <v>104559</v>
      </c>
      <c r="W6" s="12" t="s">
        <v>14</v>
      </c>
    </row>
    <row r="7" spans="1:23" ht="15.75" thickBot="1" x14ac:dyDescent="0.3">
      <c r="A7" s="6"/>
      <c r="B7" s="7"/>
      <c r="C7" s="15"/>
      <c r="D7" s="15"/>
      <c r="E7" s="7"/>
      <c r="F7" s="7"/>
      <c r="G7" s="7"/>
      <c r="H7" s="7"/>
      <c r="I7" s="7"/>
      <c r="J7" s="7"/>
      <c r="K7" s="7"/>
      <c r="L7" s="8"/>
      <c r="P7" s="16">
        <v>104564</v>
      </c>
      <c r="Q7" s="16">
        <v>500</v>
      </c>
      <c r="R7" s="16">
        <v>104564</v>
      </c>
      <c r="S7" s="16">
        <v>18</v>
      </c>
      <c r="T7" s="16">
        <v>104564</v>
      </c>
      <c r="U7" s="16" t="s">
        <v>12</v>
      </c>
      <c r="V7" s="16">
        <v>104564</v>
      </c>
      <c r="W7" s="16" t="s">
        <v>14</v>
      </c>
    </row>
    <row r="8" spans="1:23" ht="15.75" thickBot="1" x14ac:dyDescent="0.3">
      <c r="A8" s="6"/>
      <c r="B8" s="17" t="s">
        <v>27</v>
      </c>
      <c r="C8" s="54">
        <f>IF(AND(C4&gt;304,C4&lt;355),300,IF(AND(C4&gt;354,C4&lt;405),350,IF(AND(C4&gt;404,C4&lt;455),400,IF(AND(C4&gt;454,C4&lt;505),450,IF(AND(C4&gt;504,C4&lt;555),500,IF(AND(C4&gt;554,C4&lt;605),550,0))))))</f>
        <v>450</v>
      </c>
      <c r="D8" s="11" t="str">
        <f>IF(C8=300, "см. рекомендованный артикул направляющих",IF(C8=350, "см. рекомендованный артикул направляющих", IF(C8=400,"см. рекомендованный артикул направляющих",IF(C8=450,"см. рекомендованный артикул направляющих",IF(C8=500,"см. рекомендованный артикул направляющих",IF(C8=550,"см. рекомендованный артикул направляющих", "нет предложения в ассортименте по направляющим для указанной глубины корпуса"))))))</f>
        <v>см. рекомендованный артикул направляющих</v>
      </c>
      <c r="E8" s="7"/>
      <c r="F8" s="7"/>
      <c r="G8" s="7"/>
      <c r="H8" s="7"/>
      <c r="I8" s="7"/>
      <c r="J8" s="7"/>
      <c r="K8" s="7"/>
      <c r="L8" s="8"/>
      <c r="P8" s="16">
        <v>104564</v>
      </c>
      <c r="Q8" s="16">
        <v>500</v>
      </c>
      <c r="R8" s="16">
        <v>104564</v>
      </c>
      <c r="S8" s="16">
        <v>19</v>
      </c>
      <c r="T8" s="16">
        <v>104564</v>
      </c>
      <c r="U8" s="16" t="s">
        <v>12</v>
      </c>
      <c r="V8" s="16">
        <v>104564</v>
      </c>
      <c r="W8" s="16" t="s">
        <v>14</v>
      </c>
    </row>
    <row r="9" spans="1:23" ht="15.75" thickBot="1" x14ac:dyDescent="0.3">
      <c r="A9" s="6"/>
      <c r="B9" s="7"/>
      <c r="C9" s="15"/>
      <c r="D9" s="15"/>
      <c r="E9" s="7"/>
      <c r="F9" s="7"/>
      <c r="G9" s="7"/>
      <c r="H9" s="7"/>
      <c r="I9" s="7"/>
      <c r="J9" s="7"/>
      <c r="K9" s="7"/>
      <c r="L9" s="8"/>
      <c r="P9" s="12">
        <v>104562</v>
      </c>
      <c r="Q9" s="12">
        <v>400</v>
      </c>
      <c r="R9" s="12">
        <v>104562</v>
      </c>
      <c r="S9" s="12">
        <v>18</v>
      </c>
      <c r="T9" s="12">
        <v>104562</v>
      </c>
      <c r="U9" s="12" t="s">
        <v>12</v>
      </c>
      <c r="V9" s="12">
        <v>104562</v>
      </c>
      <c r="W9" s="12" t="s">
        <v>14</v>
      </c>
    </row>
    <row r="10" spans="1:23" x14ac:dyDescent="0.25">
      <c r="A10" s="6"/>
      <c r="B10" s="39" t="s">
        <v>9</v>
      </c>
      <c r="C10" s="40" t="s">
        <v>0</v>
      </c>
      <c r="D10" s="40" t="s">
        <v>1</v>
      </c>
      <c r="E10" s="41" t="s">
        <v>5</v>
      </c>
      <c r="F10" s="7"/>
      <c r="G10" s="7"/>
      <c r="H10" s="7"/>
      <c r="I10" s="7"/>
      <c r="J10" s="7"/>
      <c r="K10" s="7"/>
      <c r="L10" s="8"/>
      <c r="P10" s="12">
        <v>104562</v>
      </c>
      <c r="Q10" s="12">
        <v>400</v>
      </c>
      <c r="R10" s="12">
        <v>104562</v>
      </c>
      <c r="S10" s="12">
        <v>19</v>
      </c>
      <c r="T10" s="12">
        <v>104562</v>
      </c>
      <c r="U10" s="12" t="s">
        <v>12</v>
      </c>
      <c r="V10" s="12">
        <v>104562</v>
      </c>
      <c r="W10" s="12" t="s">
        <v>14</v>
      </c>
    </row>
    <row r="11" spans="1:23" x14ac:dyDescent="0.25">
      <c r="A11" s="6"/>
      <c r="B11" s="42" t="s">
        <v>6</v>
      </c>
      <c r="C11" s="43">
        <f>IF(D4="корректно",C8-10,0)</f>
        <v>440</v>
      </c>
      <c r="D11" s="44">
        <f>IF(AND(D6="корректно",D3="корректно"),C3-IF(C6=16,42,49),0)</f>
        <v>515</v>
      </c>
      <c r="E11" s="45">
        <v>1</v>
      </c>
      <c r="F11" s="7"/>
      <c r="G11" s="7"/>
      <c r="H11" s="7"/>
      <c r="I11" s="7"/>
      <c r="J11" s="7"/>
      <c r="K11" s="7"/>
      <c r="L11" s="8"/>
      <c r="P11" s="12">
        <v>104561</v>
      </c>
      <c r="Q11" s="12">
        <v>550</v>
      </c>
      <c r="R11" s="12">
        <v>104561</v>
      </c>
      <c r="S11" s="12">
        <v>16</v>
      </c>
      <c r="T11" s="12">
        <v>104561</v>
      </c>
      <c r="U11" s="12" t="s">
        <v>12</v>
      </c>
      <c r="V11" s="12">
        <v>104561</v>
      </c>
      <c r="W11" s="12" t="s">
        <v>14</v>
      </c>
    </row>
    <row r="12" spans="1:23" x14ac:dyDescent="0.25">
      <c r="A12" s="6"/>
      <c r="B12" s="42" t="s">
        <v>7</v>
      </c>
      <c r="C12" s="43">
        <f>D11</f>
        <v>515</v>
      </c>
      <c r="D12" s="44">
        <f>IF(D5= "корректно",C5-50,0)</f>
        <v>150</v>
      </c>
      <c r="E12" s="45">
        <v>1</v>
      </c>
      <c r="F12" s="7"/>
      <c r="G12" s="7"/>
      <c r="H12" s="7"/>
      <c r="I12" s="7"/>
      <c r="J12" s="7"/>
      <c r="K12" s="7"/>
      <c r="L12" s="8"/>
      <c r="P12" s="12">
        <v>104558</v>
      </c>
      <c r="Q12" s="12">
        <v>400</v>
      </c>
      <c r="R12" s="12">
        <v>104558</v>
      </c>
      <c r="S12" s="12">
        <v>16</v>
      </c>
      <c r="T12" s="12">
        <v>104558</v>
      </c>
      <c r="U12" s="12" t="s">
        <v>12</v>
      </c>
      <c r="V12" s="12">
        <v>104558</v>
      </c>
      <c r="W12" s="12" t="s">
        <v>14</v>
      </c>
    </row>
    <row r="13" spans="1:23" x14ac:dyDescent="0.25">
      <c r="A13" s="6"/>
      <c r="B13" s="42" t="s">
        <v>19</v>
      </c>
      <c r="C13" s="43">
        <f>C12</f>
        <v>515</v>
      </c>
      <c r="D13" s="44">
        <f>D12</f>
        <v>150</v>
      </c>
      <c r="E13" s="45">
        <v>1</v>
      </c>
      <c r="F13" s="18" t="s">
        <v>18</v>
      </c>
      <c r="G13" s="7"/>
      <c r="H13" s="7"/>
      <c r="I13" s="7"/>
      <c r="J13" s="7"/>
      <c r="K13" s="7"/>
      <c r="L13" s="8"/>
      <c r="P13" s="19">
        <v>0</v>
      </c>
      <c r="Q13" s="19">
        <v>550</v>
      </c>
      <c r="R13" s="19">
        <v>0</v>
      </c>
      <c r="S13" s="19">
        <v>19</v>
      </c>
      <c r="T13" s="19">
        <v>0</v>
      </c>
      <c r="U13" s="20"/>
      <c r="V13" s="19">
        <v>0</v>
      </c>
      <c r="W13" s="20"/>
    </row>
    <row r="14" spans="1:23" ht="15.75" thickBot="1" x14ac:dyDescent="0.3">
      <c r="A14" s="6"/>
      <c r="B14" s="46" t="s">
        <v>8</v>
      </c>
      <c r="C14" s="47">
        <f>C11</f>
        <v>440</v>
      </c>
      <c r="D14" s="48">
        <f>IF(D12=0,0,D12+30)</f>
        <v>180</v>
      </c>
      <c r="E14" s="49">
        <v>2</v>
      </c>
      <c r="F14" s="7"/>
      <c r="G14" s="7"/>
      <c r="H14" s="7"/>
      <c r="I14" s="7"/>
      <c r="J14" s="7"/>
      <c r="K14" s="7"/>
      <c r="L14" s="8"/>
      <c r="P14" s="19">
        <v>0</v>
      </c>
      <c r="Q14" s="19">
        <v>550</v>
      </c>
      <c r="R14" s="19">
        <v>0</v>
      </c>
      <c r="S14" s="19">
        <v>18</v>
      </c>
      <c r="T14" s="19">
        <v>0</v>
      </c>
      <c r="U14" s="20"/>
      <c r="V14" s="19">
        <v>0</v>
      </c>
      <c r="W14" s="20"/>
    </row>
    <row r="15" spans="1:23" x14ac:dyDescent="0.25">
      <c r="A15" s="6"/>
      <c r="B15" s="7"/>
      <c r="C15" s="15"/>
      <c r="D15" s="15"/>
      <c r="E15" s="7"/>
      <c r="F15" s="7"/>
      <c r="G15" s="7"/>
      <c r="H15" s="7"/>
      <c r="I15" s="7"/>
      <c r="J15" s="7"/>
      <c r="K15" s="7"/>
      <c r="L15" s="8"/>
      <c r="P15" s="19">
        <v>0</v>
      </c>
      <c r="Q15" s="19">
        <v>350</v>
      </c>
      <c r="R15" s="19">
        <v>0</v>
      </c>
      <c r="S15" s="19">
        <v>19</v>
      </c>
      <c r="T15" s="19">
        <v>0</v>
      </c>
      <c r="U15" s="20"/>
      <c r="V15" s="19">
        <v>0</v>
      </c>
      <c r="W15" s="20"/>
    </row>
    <row r="16" spans="1:23" ht="29.25" customHeight="1" thickBot="1" x14ac:dyDescent="0.3">
      <c r="A16" s="21"/>
      <c r="B16" s="62" t="str">
        <f>IF(AND(C18=0,D18=0),"в ассортименте нет предложений направляющих для указанных  параметров тумбы:", "рекомендуемый артикул направляющих скрытого монтажа с Clip 3D:")</f>
        <v>рекомендуемый артикул направляющих скрытого монтажа с Clip 3D:</v>
      </c>
      <c r="C16" s="62"/>
      <c r="D16" s="62"/>
      <c r="E16" s="22"/>
      <c r="F16" s="23"/>
      <c r="G16" s="23"/>
      <c r="H16" s="23"/>
      <c r="I16" s="23"/>
      <c r="J16" s="23"/>
      <c r="K16" s="23"/>
      <c r="L16" s="24"/>
      <c r="P16" s="19">
        <v>0</v>
      </c>
      <c r="Q16" s="19">
        <v>350</v>
      </c>
      <c r="R16" s="19">
        <v>0</v>
      </c>
      <c r="S16" s="19">
        <v>18</v>
      </c>
      <c r="T16" s="19">
        <v>0</v>
      </c>
      <c r="U16" s="20"/>
      <c r="V16" s="19">
        <v>0</v>
      </c>
      <c r="W16" s="20"/>
    </row>
    <row r="17" spans="1:23" x14ac:dyDescent="0.25">
      <c r="A17" s="21"/>
      <c r="C17" s="57" t="str">
        <f>IF(C18=0," ",VLOOKUP(P42,V3:W39,2,FALSE))</f>
        <v>с отталкивателем</v>
      </c>
      <c r="D17" s="58" t="str">
        <f>IF(D18=0," ",VLOOKUP(R42,V3:W39,2,FALSE))</f>
        <v>с доводчиком</v>
      </c>
      <c r="F17" s="23"/>
      <c r="G17" s="23"/>
      <c r="H17" s="23"/>
      <c r="I17" s="23"/>
      <c r="J17" s="23"/>
      <c r="K17" s="23"/>
      <c r="L17" s="24"/>
      <c r="P17" s="19">
        <v>0</v>
      </c>
      <c r="Q17" s="19">
        <v>300</v>
      </c>
      <c r="R17" s="19">
        <v>0</v>
      </c>
      <c r="S17" s="19">
        <v>19</v>
      </c>
      <c r="T17" s="19">
        <v>0</v>
      </c>
      <c r="U17" s="20"/>
      <c r="V17" s="19">
        <v>0</v>
      </c>
      <c r="W17" s="20"/>
    </row>
    <row r="18" spans="1:23" ht="30" x14ac:dyDescent="0.25">
      <c r="A18" s="21"/>
      <c r="B18" s="25" t="s">
        <v>23</v>
      </c>
      <c r="C18" s="59">
        <f>_xlfn.IFNA(P42,0)</f>
        <v>104563</v>
      </c>
      <c r="D18" s="60">
        <f>_xlfn.IFNA(R42,0)</f>
        <v>104554</v>
      </c>
      <c r="F18" s="23"/>
      <c r="G18" s="23"/>
      <c r="H18" s="23"/>
      <c r="I18" s="23"/>
      <c r="J18" s="23"/>
      <c r="K18" s="23"/>
      <c r="L18" s="24"/>
      <c r="P18" s="19">
        <v>0</v>
      </c>
      <c r="Q18" s="19">
        <v>300</v>
      </c>
      <c r="R18" s="19">
        <v>0</v>
      </c>
      <c r="S18" s="19">
        <v>18</v>
      </c>
      <c r="T18" s="19">
        <v>0</v>
      </c>
      <c r="U18" s="20"/>
      <c r="V18" s="19">
        <v>0</v>
      </c>
      <c r="W18" s="20"/>
    </row>
    <row r="19" spans="1:23" x14ac:dyDescent="0.25">
      <c r="A19" s="21"/>
      <c r="B19" s="27" t="s">
        <v>17</v>
      </c>
      <c r="C19" s="55">
        <f>IF(C18=0," ",VLOOKUP(P42,P3:Q39,2,FALSE))</f>
        <v>450</v>
      </c>
      <c r="D19" s="45">
        <f>IF(D18=0," ",VLOOKUP(R42,P3:Q39,2,FALSE))</f>
        <v>450</v>
      </c>
      <c r="F19" s="23"/>
      <c r="G19" s="23"/>
      <c r="H19" s="23"/>
      <c r="I19" s="23"/>
      <c r="J19" s="23"/>
      <c r="K19" s="23"/>
      <c r="L19" s="24"/>
      <c r="P19" s="19">
        <v>0</v>
      </c>
      <c r="Q19" s="19">
        <v>300</v>
      </c>
      <c r="R19" s="19">
        <v>0</v>
      </c>
      <c r="S19" s="19">
        <v>16</v>
      </c>
      <c r="T19" s="19">
        <v>0</v>
      </c>
      <c r="U19" s="20"/>
      <c r="V19" s="19">
        <v>0</v>
      </c>
      <c r="W19" s="20"/>
    </row>
    <row r="20" spans="1:23" x14ac:dyDescent="0.25">
      <c r="A20" s="21"/>
      <c r="B20" s="27" t="s">
        <v>16</v>
      </c>
      <c r="C20" s="55">
        <f>IF(C18=0," ",VLOOKUP(P42,R3:S39,2,FALSE))</f>
        <v>18</v>
      </c>
      <c r="D20" s="45">
        <f>IF(D18=0," ",VLOOKUP(R42,R3:S39,2,FALSE))</f>
        <v>18</v>
      </c>
      <c r="F20" s="23"/>
      <c r="G20" s="23"/>
      <c r="H20" s="23"/>
      <c r="I20" s="23"/>
      <c r="J20" s="23"/>
      <c r="K20" s="23"/>
      <c r="L20" s="24"/>
      <c r="P20" s="12">
        <v>104557</v>
      </c>
      <c r="Q20" s="12">
        <v>350</v>
      </c>
      <c r="R20" s="12">
        <v>104557</v>
      </c>
      <c r="S20" s="12">
        <v>16</v>
      </c>
      <c r="T20" s="12">
        <v>104557</v>
      </c>
      <c r="U20" s="12" t="s">
        <v>12</v>
      </c>
      <c r="V20" s="12">
        <v>104557</v>
      </c>
      <c r="W20" s="12" t="s">
        <v>14</v>
      </c>
    </row>
    <row r="21" spans="1:23" ht="15.75" thickBot="1" x14ac:dyDescent="0.3">
      <c r="A21" s="21"/>
      <c r="B21" s="17" t="s">
        <v>15</v>
      </c>
      <c r="C21" s="56" t="str">
        <f>IF(C18=0," ",VLOOKUP(P42,T3:U39,2,FALSE))</f>
        <v>Clip 3D</v>
      </c>
      <c r="D21" s="49" t="str">
        <f>IF(D18=0," ",VLOOKUP(D18,T3:U39,2,FALSE))</f>
        <v>Clip 3D</v>
      </c>
      <c r="F21" s="23"/>
      <c r="G21" s="23"/>
      <c r="H21" s="23"/>
      <c r="I21" s="23"/>
      <c r="J21" s="23"/>
      <c r="K21" s="23"/>
      <c r="L21" s="24"/>
    </row>
    <row r="22" spans="1:23" x14ac:dyDescent="0.25">
      <c r="A22" s="21"/>
      <c r="B22" s="28"/>
      <c r="E22" s="29"/>
      <c r="F22" s="23"/>
      <c r="G22" s="23"/>
      <c r="H22" s="23"/>
      <c r="I22" s="23"/>
      <c r="J22" s="23"/>
      <c r="K22" s="23"/>
      <c r="L22" s="24"/>
    </row>
    <row r="23" spans="1:23" x14ac:dyDescent="0.25">
      <c r="A23" s="21"/>
      <c r="B23" s="63" t="s">
        <v>28</v>
      </c>
      <c r="C23" s="63"/>
      <c r="D23" s="63"/>
      <c r="E23" s="63"/>
      <c r="F23" s="23"/>
      <c r="G23" s="23"/>
      <c r="H23" s="23"/>
      <c r="I23" s="23"/>
      <c r="J23" s="23"/>
      <c r="K23" s="23"/>
      <c r="L23" s="24"/>
      <c r="P23" s="12">
        <v>104555</v>
      </c>
      <c r="Q23" s="12">
        <v>500</v>
      </c>
      <c r="R23" s="12">
        <v>104555</v>
      </c>
      <c r="S23" s="12">
        <v>18</v>
      </c>
      <c r="T23" s="12">
        <v>104555</v>
      </c>
      <c r="U23" s="12" t="s">
        <v>12</v>
      </c>
      <c r="V23" s="12">
        <v>104555</v>
      </c>
      <c r="W23" s="12" t="s">
        <v>13</v>
      </c>
    </row>
    <row r="24" spans="1:23" x14ac:dyDescent="0.25">
      <c r="A24" s="21"/>
      <c r="B24" s="13"/>
      <c r="C24" s="30"/>
      <c r="D24" s="29"/>
      <c r="E24" s="23"/>
      <c r="F24" s="23"/>
      <c r="G24" s="23"/>
      <c r="H24" s="23"/>
      <c r="I24" s="23"/>
      <c r="J24" s="23"/>
      <c r="K24" s="23"/>
      <c r="L24" s="24"/>
      <c r="P24" s="12">
        <v>104555</v>
      </c>
      <c r="Q24" s="12">
        <v>500</v>
      </c>
      <c r="R24" s="12">
        <v>104555</v>
      </c>
      <c r="S24" s="12">
        <v>19</v>
      </c>
      <c r="T24" s="12">
        <v>104555</v>
      </c>
      <c r="U24" s="12" t="s">
        <v>12</v>
      </c>
      <c r="V24" s="12">
        <v>104555</v>
      </c>
      <c r="W24" s="12" t="s">
        <v>13</v>
      </c>
    </row>
    <row r="25" spans="1:23" ht="15.75" thickBot="1" x14ac:dyDescent="0.3">
      <c r="A25" s="31"/>
      <c r="B25" s="32"/>
      <c r="C25" s="33"/>
      <c r="D25" s="33"/>
      <c r="E25" s="32"/>
      <c r="F25" s="32"/>
      <c r="G25" s="32"/>
      <c r="H25" s="32"/>
      <c r="I25" s="32"/>
      <c r="J25" s="32"/>
      <c r="K25" s="32"/>
      <c r="L25" s="34"/>
      <c r="P25" s="12">
        <v>104556</v>
      </c>
      <c r="Q25" s="12">
        <v>550</v>
      </c>
      <c r="R25" s="12">
        <v>104556</v>
      </c>
      <c r="S25" s="12">
        <v>18</v>
      </c>
      <c r="T25" s="12">
        <v>104556</v>
      </c>
      <c r="U25" s="12" t="s">
        <v>12</v>
      </c>
      <c r="V25" s="12">
        <v>104556</v>
      </c>
      <c r="W25" s="12" t="s">
        <v>13</v>
      </c>
    </row>
    <row r="26" spans="1:23" ht="62.25" customHeight="1" x14ac:dyDescent="0.3">
      <c r="A26" s="1"/>
      <c r="B26" s="2"/>
      <c r="C26" s="3"/>
      <c r="D26" s="3"/>
      <c r="E26" s="2"/>
      <c r="F26" s="2"/>
      <c r="G26" s="2"/>
      <c r="H26" s="2"/>
      <c r="I26" s="2"/>
      <c r="J26" s="2"/>
      <c r="K26" s="38" t="s">
        <v>31</v>
      </c>
      <c r="L26" s="4"/>
      <c r="M26" s="7"/>
      <c r="P26" s="12">
        <v>104556</v>
      </c>
      <c r="Q26" s="12">
        <v>550</v>
      </c>
      <c r="R26" s="12">
        <v>104556</v>
      </c>
      <c r="S26" s="12">
        <v>19</v>
      </c>
      <c r="T26" s="12">
        <v>104556</v>
      </c>
      <c r="U26" s="12" t="s">
        <v>12</v>
      </c>
      <c r="V26" s="12">
        <v>104556</v>
      </c>
      <c r="W26" s="12" t="s">
        <v>13</v>
      </c>
    </row>
    <row r="27" spans="1:23" ht="32.25" customHeight="1" thickBot="1" x14ac:dyDescent="0.3">
      <c r="A27" s="6"/>
      <c r="B27" s="61" t="s">
        <v>29</v>
      </c>
      <c r="C27" s="61"/>
      <c r="D27" s="61"/>
      <c r="E27" s="61"/>
      <c r="F27" s="7"/>
      <c r="G27" s="7"/>
      <c r="H27" s="7"/>
      <c r="I27" s="7"/>
      <c r="J27" s="7"/>
      <c r="K27" s="7"/>
      <c r="L27" s="8"/>
      <c r="P27" s="12">
        <v>104554</v>
      </c>
      <c r="Q27" s="12">
        <v>450</v>
      </c>
      <c r="R27" s="12">
        <v>104554</v>
      </c>
      <c r="S27" s="12">
        <v>18</v>
      </c>
      <c r="T27" s="12">
        <v>104554</v>
      </c>
      <c r="U27" s="12" t="s">
        <v>12</v>
      </c>
      <c r="V27" s="12">
        <v>104554</v>
      </c>
      <c r="W27" s="12" t="s">
        <v>13</v>
      </c>
    </row>
    <row r="28" spans="1:23" x14ac:dyDescent="0.25">
      <c r="A28" s="6"/>
      <c r="B28" s="10" t="s">
        <v>21</v>
      </c>
      <c r="C28" s="51">
        <v>800</v>
      </c>
      <c r="D28" s="11" t="str">
        <f>IF(C28&gt;800,"не корректно!!! Не рекомендуем применять  направляющие этой группы в ящиках для ширины  проема более 800мм",IF(C28&lt;200,"не корректно!! Необходимо увеличить размер корпуса по ширине","корректно"))</f>
        <v>корректно</v>
      </c>
      <c r="E28" s="7"/>
      <c r="F28" s="7"/>
      <c r="G28" s="7"/>
      <c r="H28" s="7"/>
      <c r="I28" s="7"/>
      <c r="J28" s="7"/>
      <c r="K28" s="7"/>
      <c r="L28" s="8"/>
      <c r="P28" s="12">
        <v>104554</v>
      </c>
      <c r="Q28" s="12">
        <v>450</v>
      </c>
      <c r="R28" s="12">
        <v>104554</v>
      </c>
      <c r="S28" s="12">
        <v>19</v>
      </c>
      <c r="T28" s="12">
        <v>104554</v>
      </c>
      <c r="U28" s="12" t="s">
        <v>12</v>
      </c>
      <c r="V28" s="12">
        <v>104554</v>
      </c>
      <c r="W28" s="12" t="s">
        <v>13</v>
      </c>
    </row>
    <row r="29" spans="1:23" x14ac:dyDescent="0.25">
      <c r="A29" s="6"/>
      <c r="B29" s="10" t="s">
        <v>22</v>
      </c>
      <c r="C29" s="52">
        <v>504</v>
      </c>
      <c r="D29" s="11" t="str">
        <f>IF(C29&gt;326, "корректно", "не корректно!! Минимальная  глубина корпуса  327мм")</f>
        <v>корректно</v>
      </c>
      <c r="E29" s="7"/>
      <c r="F29" s="7"/>
      <c r="G29" s="7"/>
      <c r="H29" s="7"/>
      <c r="I29" s="7"/>
      <c r="J29" s="7"/>
      <c r="K29" s="7"/>
      <c r="L29" s="8"/>
      <c r="P29" s="12">
        <v>104553</v>
      </c>
      <c r="Q29" s="12">
        <v>400</v>
      </c>
      <c r="R29" s="12">
        <v>104553</v>
      </c>
      <c r="S29" s="12">
        <v>18</v>
      </c>
      <c r="T29" s="12">
        <v>104553</v>
      </c>
      <c r="U29" s="12" t="s">
        <v>12</v>
      </c>
      <c r="V29" s="12">
        <v>104553</v>
      </c>
      <c r="W29" s="12" t="s">
        <v>13</v>
      </c>
    </row>
    <row r="30" spans="1:23" x14ac:dyDescent="0.25">
      <c r="A30" s="6"/>
      <c r="B30" s="10" t="s">
        <v>24</v>
      </c>
      <c r="C30" s="52">
        <v>455</v>
      </c>
      <c r="D30" s="11" t="str">
        <f>IF(C30&lt;109,"не корректно!! Очень узкая деталь для боковин ящика, необходимо увеличить   высоту Фасада",IF(C30&gt;800,"не корректно!!! Очень высокая боковина ящика","корректно"))</f>
        <v>корректно</v>
      </c>
      <c r="E30" s="7"/>
      <c r="F30" s="7"/>
      <c r="G30" s="7"/>
      <c r="H30" s="7"/>
      <c r="I30" s="7"/>
      <c r="J30" s="7"/>
      <c r="K30" s="7"/>
      <c r="L30" s="8"/>
      <c r="P30" s="12">
        <v>104553</v>
      </c>
      <c r="Q30" s="12">
        <v>400</v>
      </c>
      <c r="R30" s="12">
        <v>104553</v>
      </c>
      <c r="S30" s="12">
        <v>19</v>
      </c>
      <c r="T30" s="12">
        <v>104553</v>
      </c>
      <c r="U30" s="12" t="s">
        <v>12</v>
      </c>
      <c r="V30" s="12">
        <v>104553</v>
      </c>
      <c r="W30" s="12" t="s">
        <v>13</v>
      </c>
    </row>
    <row r="31" spans="1:23" x14ac:dyDescent="0.25">
      <c r="A31" s="6"/>
      <c r="B31" s="13" t="s">
        <v>25</v>
      </c>
      <c r="C31" s="52">
        <v>16</v>
      </c>
      <c r="D31" s="14" t="str">
        <f>IF(C31=16,"корректно",IF(C31=18,"корректно",IF(C31=19,"корректно","некорректно!!! Введите правильно толщину материала, выбрать: или 16 или 18 или 19")))</f>
        <v>корректно</v>
      </c>
      <c r="E31" s="7"/>
      <c r="F31" s="7"/>
      <c r="G31" s="7"/>
      <c r="H31" s="7"/>
      <c r="I31" s="7"/>
      <c r="J31" s="7"/>
      <c r="K31" s="7"/>
      <c r="L31" s="8"/>
      <c r="M31" s="7"/>
      <c r="N31" s="35">
        <f>C29-C32-3-5</f>
        <v>480</v>
      </c>
      <c r="P31" s="12">
        <v>104552</v>
      </c>
      <c r="Q31" s="12">
        <v>350</v>
      </c>
      <c r="R31" s="12">
        <v>104552</v>
      </c>
      <c r="S31" s="12">
        <v>18</v>
      </c>
      <c r="T31" s="12">
        <v>104552</v>
      </c>
      <c r="U31" s="12" t="s">
        <v>12</v>
      </c>
      <c r="V31" s="12">
        <v>104552</v>
      </c>
      <c r="W31" s="12" t="s">
        <v>13</v>
      </c>
    </row>
    <row r="32" spans="1:23" ht="15.75" thickBot="1" x14ac:dyDescent="0.3">
      <c r="A32" s="6"/>
      <c r="B32" s="13" t="s">
        <v>30</v>
      </c>
      <c r="C32" s="53">
        <v>16</v>
      </c>
      <c r="D32" s="14" t="str">
        <f>IF(C32=16,"корректно",IF(C32=18,"корректно",IF(C32=19,"корректно","некорректно!!! Введите правильно толщину материала, выбрать: или 16 или 18 или 19")))</f>
        <v>корректно</v>
      </c>
      <c r="E32" s="7"/>
      <c r="F32" s="7"/>
      <c r="G32" s="7"/>
      <c r="H32" s="7"/>
      <c r="I32" s="7"/>
      <c r="J32" s="7"/>
      <c r="K32" s="7"/>
      <c r="L32" s="8"/>
      <c r="M32" s="7"/>
      <c r="N32" s="7"/>
      <c r="P32" s="12">
        <v>104552</v>
      </c>
      <c r="Q32" s="12">
        <v>350</v>
      </c>
      <c r="R32" s="12">
        <v>104552</v>
      </c>
      <c r="S32" s="12">
        <v>19</v>
      </c>
      <c r="T32" s="12">
        <v>104552</v>
      </c>
      <c r="U32" s="12" t="s">
        <v>12</v>
      </c>
      <c r="V32" s="12">
        <v>104552</v>
      </c>
      <c r="W32" s="12" t="s">
        <v>13</v>
      </c>
    </row>
    <row r="33" spans="1:23" ht="15.75" thickBot="1" x14ac:dyDescent="0.3">
      <c r="A33" s="6"/>
      <c r="G33" s="7"/>
      <c r="H33" s="7"/>
      <c r="I33" s="7"/>
      <c r="J33" s="7"/>
      <c r="K33" s="7"/>
      <c r="L33" s="8"/>
      <c r="M33" s="7"/>
      <c r="N33" s="7"/>
      <c r="P33" s="12">
        <v>104551</v>
      </c>
      <c r="Q33" s="12">
        <v>300</v>
      </c>
      <c r="R33" s="12">
        <v>104551</v>
      </c>
      <c r="S33" s="12">
        <v>18</v>
      </c>
      <c r="T33" s="12">
        <v>104551</v>
      </c>
      <c r="U33" s="12" t="s">
        <v>12</v>
      </c>
      <c r="V33" s="12">
        <v>104551</v>
      </c>
      <c r="W33" s="12" t="s">
        <v>13</v>
      </c>
    </row>
    <row r="34" spans="1:23" ht="15.75" thickBot="1" x14ac:dyDescent="0.3">
      <c r="A34" s="6"/>
      <c r="B34" s="17" t="s">
        <v>27</v>
      </c>
      <c r="C34" s="54">
        <f>IF(AND(N31&gt;299,N31&lt;350),300,IF(AND(N31&gt;349,N31&lt;400),350,IF(AND(N31&gt;399,N31&lt;450),400,IF(AND(N31&gt;449,N31&lt;500),450,IF(AND(N31&gt;499,N31&lt;550),500,IF(AND(N31&gt;549,N31&lt;600),550,0))))))</f>
        <v>450</v>
      </c>
      <c r="D34" s="11" t="str">
        <f>IF(C34=300, "см. рекомендованный артикул направляющих",IF(C34=350, "см. рекомендованный артикул направляющих", IF(C34=400,"см. рекомендованный артикул направляющих",IF(C34=450,"см. рекомендованный артикул направляющих",IF(C34=500,"см. рекомендованный артикул направляющих",IF(C34=550,"см. рекомендованный артикул направляющих", "нет предложения в ассортименте по направляющим для указанной глубины корпуса с внутренним фасадом"))))))</f>
        <v>см. рекомендованный артикул направляющих</v>
      </c>
      <c r="E34" s="7"/>
      <c r="G34" s="7"/>
      <c r="H34" s="7"/>
      <c r="I34" s="7"/>
      <c r="J34" s="7"/>
      <c r="K34" s="7"/>
      <c r="L34" s="8"/>
      <c r="M34" s="7"/>
      <c r="N34" s="7"/>
      <c r="P34" s="12">
        <v>104551</v>
      </c>
      <c r="Q34" s="12">
        <v>300</v>
      </c>
      <c r="R34" s="12">
        <v>104551</v>
      </c>
      <c r="S34" s="12">
        <v>19</v>
      </c>
      <c r="T34" s="12">
        <v>104551</v>
      </c>
      <c r="U34" s="12" t="s">
        <v>12</v>
      </c>
      <c r="V34" s="12">
        <v>104551</v>
      </c>
      <c r="W34" s="12" t="s">
        <v>13</v>
      </c>
    </row>
    <row r="35" spans="1:23" ht="15.75" thickBot="1" x14ac:dyDescent="0.3">
      <c r="A35" s="6"/>
      <c r="B35" s="7"/>
      <c r="C35" s="15"/>
      <c r="D35" s="15"/>
      <c r="E35" s="7"/>
      <c r="F35" s="7"/>
      <c r="G35" s="7"/>
      <c r="H35" s="7"/>
      <c r="I35" s="7"/>
      <c r="J35" s="7"/>
      <c r="K35" s="7"/>
      <c r="L35" s="8"/>
      <c r="M35" s="7"/>
      <c r="N35" s="7"/>
      <c r="P35" s="37">
        <v>0</v>
      </c>
      <c r="Q35" s="37">
        <v>550</v>
      </c>
      <c r="R35" s="37">
        <v>0</v>
      </c>
      <c r="S35" s="37">
        <v>16</v>
      </c>
      <c r="T35" s="37">
        <v>0</v>
      </c>
      <c r="U35" s="37" t="s">
        <v>26</v>
      </c>
      <c r="V35" s="37">
        <v>0</v>
      </c>
      <c r="W35" s="37" t="s">
        <v>26</v>
      </c>
    </row>
    <row r="36" spans="1:23" x14ac:dyDescent="0.25">
      <c r="A36" s="6"/>
      <c r="B36" s="39" t="s">
        <v>32</v>
      </c>
      <c r="C36" s="40" t="s">
        <v>0</v>
      </c>
      <c r="D36" s="40" t="s">
        <v>1</v>
      </c>
      <c r="E36" s="41" t="s">
        <v>5</v>
      </c>
      <c r="F36" s="7"/>
      <c r="G36" s="7"/>
      <c r="H36" s="7"/>
      <c r="I36" s="7"/>
      <c r="J36" s="7"/>
      <c r="K36" s="7"/>
      <c r="L36" s="8"/>
      <c r="M36" s="7"/>
      <c r="N36" s="7"/>
      <c r="P36" s="12">
        <v>104893</v>
      </c>
      <c r="Q36" s="12">
        <v>500</v>
      </c>
      <c r="R36" s="12">
        <v>104893</v>
      </c>
      <c r="S36" s="12">
        <v>16</v>
      </c>
      <c r="T36" s="12">
        <v>104893</v>
      </c>
      <c r="U36" s="12" t="s">
        <v>12</v>
      </c>
      <c r="V36" s="12">
        <v>104893</v>
      </c>
      <c r="W36" s="12" t="s">
        <v>13</v>
      </c>
    </row>
    <row r="37" spans="1:23" x14ac:dyDescent="0.25">
      <c r="A37" s="6"/>
      <c r="B37" s="42" t="s">
        <v>6</v>
      </c>
      <c r="C37" s="43">
        <f>IF(AND(D31="корректно",D29="корректно"),C34-10,0)</f>
        <v>440</v>
      </c>
      <c r="D37" s="44">
        <f>IF(AND(D31="корректно",D28="корректно"),C28-IF(C31=16,42,49),0)</f>
        <v>758</v>
      </c>
      <c r="E37" s="45">
        <v>1</v>
      </c>
      <c r="F37" s="7"/>
      <c r="G37" s="7"/>
      <c r="H37" s="7"/>
      <c r="I37" s="7"/>
      <c r="J37" s="7"/>
      <c r="K37" s="7"/>
      <c r="L37" s="8"/>
      <c r="M37" s="7"/>
      <c r="N37" s="7"/>
      <c r="P37" s="12">
        <v>104892</v>
      </c>
      <c r="Q37" s="12">
        <v>450</v>
      </c>
      <c r="R37" s="12">
        <v>104892</v>
      </c>
      <c r="S37" s="12">
        <v>16</v>
      </c>
      <c r="T37" s="12">
        <v>104892</v>
      </c>
      <c r="U37" s="12" t="s">
        <v>12</v>
      </c>
      <c r="V37" s="12">
        <v>104892</v>
      </c>
      <c r="W37" s="12" t="s">
        <v>13</v>
      </c>
    </row>
    <row r="38" spans="1:23" x14ac:dyDescent="0.25">
      <c r="A38" s="6"/>
      <c r="B38" s="42" t="s">
        <v>7</v>
      </c>
      <c r="C38" s="43">
        <f>D37</f>
        <v>758</v>
      </c>
      <c r="D38" s="44">
        <f>IF(D30= "корректно",C30-50,0)</f>
        <v>405</v>
      </c>
      <c r="E38" s="45">
        <v>1</v>
      </c>
      <c r="F38" s="7"/>
      <c r="G38" s="7"/>
      <c r="H38" s="7"/>
      <c r="I38" s="7"/>
      <c r="J38" s="7"/>
      <c r="K38" s="7"/>
      <c r="L38" s="8"/>
      <c r="M38" s="7"/>
      <c r="N38" s="7"/>
      <c r="P38" s="37">
        <v>0</v>
      </c>
      <c r="Q38" s="37">
        <v>350</v>
      </c>
      <c r="R38" s="37">
        <v>0</v>
      </c>
      <c r="S38" s="37">
        <v>16</v>
      </c>
      <c r="T38" s="37">
        <v>0</v>
      </c>
      <c r="U38" s="37" t="s">
        <v>26</v>
      </c>
      <c r="V38" s="37">
        <v>0</v>
      </c>
      <c r="W38" s="37"/>
    </row>
    <row r="39" spans="1:23" x14ac:dyDescent="0.25">
      <c r="A39" s="6"/>
      <c r="B39" s="42" t="s">
        <v>19</v>
      </c>
      <c r="C39" s="43">
        <f>C38</f>
        <v>758</v>
      </c>
      <c r="D39" s="44">
        <f>D38</f>
        <v>405</v>
      </c>
      <c r="E39" s="45">
        <v>1</v>
      </c>
      <c r="F39" s="18" t="s">
        <v>18</v>
      </c>
      <c r="G39" s="7"/>
      <c r="H39" s="7"/>
      <c r="I39" s="7"/>
      <c r="J39" s="7"/>
      <c r="K39" s="7"/>
      <c r="L39" s="8"/>
      <c r="M39" s="7"/>
      <c r="N39" s="7"/>
      <c r="P39" s="12">
        <v>104891</v>
      </c>
      <c r="Q39" s="12">
        <v>400</v>
      </c>
      <c r="R39" s="12">
        <v>104891</v>
      </c>
      <c r="S39" s="12">
        <v>16</v>
      </c>
      <c r="T39" s="12">
        <v>104891</v>
      </c>
      <c r="U39" s="12" t="s">
        <v>12</v>
      </c>
      <c r="V39" s="12">
        <v>104891</v>
      </c>
      <c r="W39" s="12" t="s">
        <v>13</v>
      </c>
    </row>
    <row r="40" spans="1:23" ht="15.75" thickBot="1" x14ac:dyDescent="0.3">
      <c r="A40" s="6"/>
      <c r="B40" s="46" t="s">
        <v>8</v>
      </c>
      <c r="C40" s="47">
        <f>C37</f>
        <v>440</v>
      </c>
      <c r="D40" s="48">
        <f>IF(D38=0,0,D38+30)</f>
        <v>435</v>
      </c>
      <c r="E40" s="49">
        <v>2</v>
      </c>
      <c r="F40" s="7"/>
      <c r="G40" s="7"/>
      <c r="H40" s="7"/>
      <c r="I40" s="7"/>
      <c r="J40" s="7"/>
      <c r="K40" s="7"/>
      <c r="L40" s="8"/>
      <c r="M40" s="7"/>
      <c r="N40" s="7"/>
      <c r="P40" s="15"/>
      <c r="Q40" s="15"/>
      <c r="R40" s="15"/>
      <c r="S40" s="15"/>
      <c r="T40" s="15"/>
      <c r="U40" s="15"/>
      <c r="V40" s="15"/>
      <c r="W40" s="15"/>
    </row>
    <row r="41" spans="1:23" x14ac:dyDescent="0.25">
      <c r="A41" s="21"/>
      <c r="B41" s="7"/>
      <c r="C41" s="15"/>
      <c r="D41" s="15"/>
      <c r="E41" s="7"/>
      <c r="F41" s="7"/>
      <c r="G41" s="23"/>
      <c r="H41" s="23"/>
      <c r="I41" s="23"/>
      <c r="J41" s="23"/>
      <c r="K41" s="23"/>
      <c r="L41" s="24"/>
      <c r="M41" s="7"/>
      <c r="N41" s="7"/>
      <c r="P41" s="15"/>
      <c r="Q41" s="15"/>
      <c r="R41" s="15"/>
      <c r="S41" s="15"/>
      <c r="T41" s="15"/>
      <c r="U41" s="15"/>
      <c r="V41" s="15"/>
      <c r="W41" s="15"/>
    </row>
    <row r="42" spans="1:23" ht="28.5" customHeight="1" thickBot="1" x14ac:dyDescent="0.3">
      <c r="A42" s="21"/>
      <c r="B42" s="62" t="str">
        <f>IF(AND(C44=0,D44=0),"в ассортименте нет предложений направляющих для указанных  параметров тумбы:", "рекомендуемый артикул направляющих скрытого монтажа с Clip 3D:")</f>
        <v>рекомендуемый артикул направляющих скрытого монтажа с Clip 3D:</v>
      </c>
      <c r="C42" s="62"/>
      <c r="D42" s="62"/>
      <c r="E42" s="22"/>
      <c r="F42" s="23"/>
      <c r="G42" s="23"/>
      <c r="H42" s="23"/>
      <c r="I42" s="23"/>
      <c r="J42" s="23"/>
      <c r="K42" s="23"/>
      <c r="L42" s="24"/>
      <c r="M42" s="7"/>
      <c r="N42" s="7"/>
      <c r="P42" s="26">
        <f t="array" ref="P42">INDEX(P3:P20,MATCH(C8&amp;C6,Q3:Q20&amp;S3:S20,0))</f>
        <v>104563</v>
      </c>
      <c r="Q42" s="15"/>
      <c r="R42" s="26">
        <f t="array" ref="R42">INDEX(P23:P39,MATCH(C8&amp;C6,Q23:Q39&amp;S23:S39,0))</f>
        <v>104554</v>
      </c>
      <c r="S42" s="15"/>
      <c r="T42" s="15"/>
      <c r="U42" s="15"/>
      <c r="V42" s="15"/>
      <c r="W42" s="15"/>
    </row>
    <row r="43" spans="1:23" x14ac:dyDescent="0.25">
      <c r="A43" s="21"/>
      <c r="C43" s="57" t="str">
        <f>IF(C44=0," ",VLOOKUP(P46,V3:W39,2,FALSE))</f>
        <v>с отталкивателем</v>
      </c>
      <c r="D43" s="58" t="str">
        <f>IF(D44=0," ",VLOOKUP(R46,V3:W39,2,FALSE))</f>
        <v>с доводчиком</v>
      </c>
      <c r="F43" s="23"/>
      <c r="G43" s="23"/>
      <c r="H43" s="23"/>
      <c r="I43" s="23"/>
      <c r="J43" s="23"/>
      <c r="K43" s="23"/>
      <c r="L43" s="24"/>
      <c r="M43" s="7"/>
      <c r="N43" s="7"/>
      <c r="P43" s="15"/>
      <c r="Q43" s="15"/>
      <c r="R43" s="15"/>
      <c r="S43" s="15"/>
      <c r="T43" s="15"/>
      <c r="U43" s="15"/>
      <c r="V43" s="15"/>
      <c r="W43" s="15"/>
    </row>
    <row r="44" spans="1:23" ht="30" x14ac:dyDescent="0.25">
      <c r="A44" s="21"/>
      <c r="B44" s="25" t="s">
        <v>23</v>
      </c>
      <c r="C44" s="59">
        <f>_xlfn.IFNA(P46,0)</f>
        <v>104559</v>
      </c>
      <c r="D44" s="60">
        <f>_xlfn.IFNA(R46,0)</f>
        <v>104892</v>
      </c>
      <c r="F44" s="23"/>
      <c r="G44" s="23"/>
      <c r="H44" s="23"/>
      <c r="I44" s="23"/>
      <c r="J44" s="23"/>
      <c r="K44" s="23"/>
      <c r="L44" s="24"/>
      <c r="M44" s="7"/>
      <c r="N44" s="7"/>
      <c r="P44" s="15"/>
      <c r="Q44" s="15"/>
      <c r="R44" s="15"/>
      <c r="S44" s="15"/>
      <c r="T44" s="15"/>
      <c r="U44" s="15"/>
      <c r="V44" s="15"/>
      <c r="W44" s="15"/>
    </row>
    <row r="45" spans="1:23" x14ac:dyDescent="0.25">
      <c r="A45" s="21"/>
      <c r="B45" s="27" t="s">
        <v>17</v>
      </c>
      <c r="C45" s="55">
        <f>IF(C44=0," ",VLOOKUP(P46,P3:Q39,2,FALSE))</f>
        <v>450</v>
      </c>
      <c r="D45" s="45">
        <f>IF(D44=0," ",VLOOKUP(R46,P3:Q39,2,FALSE))</f>
        <v>450</v>
      </c>
      <c r="F45" s="23"/>
      <c r="G45" s="23"/>
      <c r="H45" s="23"/>
      <c r="I45" s="23"/>
      <c r="J45" s="23"/>
      <c r="K45" s="23"/>
      <c r="L45" s="24"/>
      <c r="P45" s="15"/>
      <c r="Q45" s="15"/>
      <c r="R45" s="15"/>
      <c r="S45" s="15"/>
      <c r="T45" s="15"/>
      <c r="U45" s="15"/>
      <c r="V45" s="15"/>
      <c r="W45" s="15"/>
    </row>
    <row r="46" spans="1:23" x14ac:dyDescent="0.25">
      <c r="A46" s="21"/>
      <c r="B46" s="27" t="s">
        <v>16</v>
      </c>
      <c r="C46" s="55">
        <f>IF(C44=0," ",VLOOKUP(P46,R3:S39,2,FALSE))</f>
        <v>16</v>
      </c>
      <c r="D46" s="45">
        <f>IF(D44=0," ",VLOOKUP(R46,R3:S39,2,FALSE))</f>
        <v>16</v>
      </c>
      <c r="F46" s="23"/>
      <c r="G46" s="23"/>
      <c r="H46" s="23"/>
      <c r="I46" s="23"/>
      <c r="J46" s="23"/>
      <c r="K46" s="23"/>
      <c r="L46" s="24"/>
      <c r="P46" s="26">
        <f t="array" ref="P46">INDEX(P3:P20,MATCH(C34&amp;C31,Q3:Q20&amp;S3:S20,0))</f>
        <v>104559</v>
      </c>
      <c r="Q46" s="15"/>
      <c r="R46" s="26">
        <f t="array" ref="R46">INDEX(P23:P39,MATCH(C34&amp;C31,Q23:Q39&amp;S23:S39,0))</f>
        <v>104892</v>
      </c>
      <c r="S46" s="15"/>
      <c r="T46" s="15"/>
      <c r="U46" s="15"/>
      <c r="V46" s="15"/>
      <c r="W46" s="15"/>
    </row>
    <row r="47" spans="1:23" ht="15.75" thickBot="1" x14ac:dyDescent="0.3">
      <c r="A47" s="21"/>
      <c r="B47" s="17" t="s">
        <v>15</v>
      </c>
      <c r="C47" s="56" t="str">
        <f>IF(C44=0," ",VLOOKUP(P46,T3:U39,2,FALSE))</f>
        <v>Clip 3D</v>
      </c>
      <c r="D47" s="49" t="str">
        <f>IF(D44=0," ",VLOOKUP(D44,T3:U39,2,FALSE))</f>
        <v>Clip 3D</v>
      </c>
      <c r="F47" s="23"/>
      <c r="G47" s="23"/>
      <c r="H47" s="23"/>
      <c r="I47" s="23"/>
      <c r="J47" s="23"/>
      <c r="K47" s="23"/>
      <c r="L47" s="24"/>
    </row>
    <row r="48" spans="1:23" ht="15" customHeight="1" x14ac:dyDescent="0.25">
      <c r="A48" s="21"/>
      <c r="B48" s="28"/>
      <c r="E48" s="29"/>
      <c r="F48" s="23"/>
      <c r="G48" s="23"/>
      <c r="H48" s="23"/>
      <c r="I48" s="23"/>
      <c r="J48" s="23"/>
      <c r="K48" s="23"/>
      <c r="L48" s="24"/>
    </row>
    <row r="49" spans="1:12" ht="15" customHeight="1" x14ac:dyDescent="0.25">
      <c r="A49" s="21"/>
      <c r="B49" s="63" t="s">
        <v>28</v>
      </c>
      <c r="C49" s="63"/>
      <c r="D49" s="63"/>
      <c r="E49" s="63"/>
      <c r="F49" s="23"/>
      <c r="G49" s="23"/>
      <c r="H49" s="23"/>
      <c r="I49" s="23"/>
      <c r="J49" s="23"/>
      <c r="K49" s="23"/>
      <c r="L49" s="24"/>
    </row>
    <row r="50" spans="1:12" ht="15.75" thickBot="1" x14ac:dyDescent="0.3">
      <c r="A50" s="31"/>
      <c r="B50" s="32"/>
      <c r="C50" s="33"/>
      <c r="D50" s="33"/>
      <c r="E50" s="32"/>
      <c r="F50" s="32"/>
      <c r="G50" s="32"/>
      <c r="H50" s="32"/>
      <c r="I50" s="32"/>
      <c r="J50" s="32"/>
      <c r="K50" s="32"/>
      <c r="L50" s="34"/>
    </row>
  </sheetData>
  <sheetProtection algorithmName="SHA-512" hashValue="qYOMR8dtnF2OaaHOjdPisPVNG991n6gUm1VWaO254IZqwT0at8CYa9PE38ZE4icbFrjqotzxt9OeFibsOrLQcw==" saltValue="K7SNzKNzeWjrowPSBQdmpQ==" spinCount="100000" sheet="1" objects="1" scenarios="1"/>
  <sortState ref="G4:L47">
    <sortCondition ref="J4:J47"/>
  </sortState>
  <mergeCells count="6">
    <mergeCell ref="B27:E27"/>
    <mergeCell ref="B42:D42"/>
    <mergeCell ref="B49:E49"/>
    <mergeCell ref="B2:E2"/>
    <mergeCell ref="B23:E23"/>
    <mergeCell ref="B16:D16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Gennadiy.Kovalchuk</dc:creator>
  <cp:lastModifiedBy>Тарасенко Елена</cp:lastModifiedBy>
  <cp:lastPrinted>2020-07-21T12:01:56Z</cp:lastPrinted>
  <dcterms:created xsi:type="dcterms:W3CDTF">2020-06-22T06:52:41Z</dcterms:created>
  <dcterms:modified xsi:type="dcterms:W3CDTF">2020-07-30T07:18:28Z</dcterms:modified>
</cp:coreProperties>
</file>